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<sst xmlns="http://schemas.openxmlformats.org/spreadsheetml/2006/main" count="1829" uniqueCount="278">
  <si>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</si>
  <si>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</si>
  <si>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</si>
  <si>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</si>
  <si>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</si>
  <si>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</si>
  <si>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</si>
  <si>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</si>
  <si>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</si>
  <si>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</si>
  <si>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</si>
  <si>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</si>
  <si>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</si>
  <si>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</si>
  <si>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</si>
  <si>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</si>
  <si>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</si>
  <si>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</si>
  <si>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</si>
  <si>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</si>
  <si>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</si>
  <si>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</si>
  <si>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</si>
  <si>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</si>
  <si>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</si>
  <si>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</si>
  <si>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</si>
  <si>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</si>
  <si>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</si>
  <si>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</si>
  <si>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</si>
  <si>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</si>
  <si>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</si>
  <si>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</si>
  <si>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</si>
  <si>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</si>
  <si>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</si>
  <si>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</si>
  <si>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</si>
  <si>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</si>
  <si>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</si>
  <si>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</si>
  <si>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</si>
  <si>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</si>
  <si>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</si>
  <si>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</si>
  <si>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</si>
  <si>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</si>
  <si>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</si>
  <si>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</si>
  <si>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</si>
  <si>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</si>
  <si>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</si>
  <si>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</si>
  <si>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</si>
  <si>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</si>
  <si>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</si>
  <si>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</si>
  <si>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</si>
  <si>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</si>
  <si>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</si>
  <si>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</si>
  <si>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</si>
  <si>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</si>
  <si>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</si>
  <si>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</si>
  <si>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</si>
  <si>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</si>
  <si>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</si>
  <si>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</si>
  <si>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</si>
  <si>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</si>
  <si>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</si>
  <si>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</si>
  <si>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</si>
  <si>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</si>
  <si>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</si>
  <si>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</si>
  <si>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</si>
  <si>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</si>
  <si>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</si>
  <si>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</si>
  <si>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</si>
  <si>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</si>
  <si>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</si>
  <si>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</si>
  <si>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</si>
  <si>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</si>
  <si>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</si>
  <si>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</si>
  <si>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</si>
  <si>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</si>
  <si>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</si>
  <si>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</si>
  <si>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</si>
  <si>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</si>
  <si>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</si>
  <si>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</si>
  <si>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</si>
  <si>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</si>
  <si>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</si>
  <si>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</si>
  <si>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</si>
  <si>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</si>
  <si>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</si>
  <si>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</si>
  <si>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</si>
  <si>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</si>
  <si>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</si>
  <si>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</si>
  <si>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</si>
  <si>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</si>
  <si>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</si>
  <si>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</si>
  <si>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</si>
  <si>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</si>
  <si>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</si>
  <si>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</si>
  <si>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</si>
  <si>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</si>
  <si>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</si>
  <si>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</si>
  <si>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</si>
  <si>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</si>
  <si>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</si>
  <si>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</si>
  <si>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</si>
  <si>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</si>
  <si>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</si>
  <si>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</si>
  <si>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</si>
  <si>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</si>
  <si>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</si>
  <si>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</si>
  <si>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</si>
  <si>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</si>
  <si>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</si>
  <si>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</si>
  <si>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</si>
  <si>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</si>
  <si>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</si>
  <si>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</si>
  <si>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</si>
  <si>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</si>
  <si>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</si>
  <si>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</si>
  <si>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</si>
  <si>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</si>
  <si>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</si>
  <si>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</si>
  <si>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</si>
  <si>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</si>
  <si>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</si>
  <si>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</si>
  <si>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</si>
  <si>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</si>
  <si>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</si>
  <si>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</si>
  <si>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</si>
  <si>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</si>
  <si>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</si>
  <si>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</si>
  <si>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</si>
  <si>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</si>
  <si>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</si>
  <si>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</si>
  <si>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</si>
  <si>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</si>
  <si>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</si>
  <si>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</si>
  <si>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</si>
  <si>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</si>
  <si>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</si>
  <si>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</si>
  <si>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</si>
  <si>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</si>
  <si>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</si>
  <si>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</si>
  <si>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</si>
  <si>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</si>
  <si>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</si>
  <si>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</si>
  <si>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</si>
  <si>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</si>
  <si>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</si>
  <si>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</si>
  <si>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</si>
  <si>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</si>
  <si>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</si>
  <si>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</si>
  <si>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</si>
  <si>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</si>
  <si>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</si>
  <si>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</si>
  <si>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</si>
  <si>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</si>
  <si>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</si>
  <si>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</si>
  <si>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</si>
  <si>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</si>
  <si>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</si>
  <si>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</si>
  <si>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</si>
  <si>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</si>
  <si>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</si>
  <si>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</si>
  <si>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</si>
  <si>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</si>
  <si>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</si>
  <si>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</si>
  <si>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</si>
  <si>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</si>
  <si>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</si>
  <si>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</si>
  <si>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</si>
  <si>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</si>
  <si>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</si>
  <si>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</si>
  <si>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</si>
  <si>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</si>
  <si>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</si>
  <si>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</si>
  <si>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</si>
  <si>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</si>
  <si>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</si>
  <si>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</si>
  <si>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</si>
  <si>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</si>
  <si>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</si>
  <si>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</si>
  <si>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</si>
  <si>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</si>
  <si>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</si>
  <si>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</si>
  <si>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</si>
  <si>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</si>
  <si>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</si>
  <si>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</si>
  <si>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</si>
  <si>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</si>
  <si>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</si>
  <si>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</si>
  <si>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</si>
  <si>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</si>
  <si>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</si>
  <si>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</si>
  <si>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</si>
  <si>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</si>
  <si>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</si>
  <si>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</si>
  <si>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</si>
  <si>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</si>
  <si>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</si>
  <si>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</si>
  <si>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</si>
  <si>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</si>
  <si>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</si>
  <si>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</si>
  <si>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</si>
  <si>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</si>
  <si>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</si>
  <si>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</si>
  <si>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</si>
  <si>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</si>
  <si>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</si>
  <si>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</si>
  <si>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</si>
  <si>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</si>
  <si>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</si>
  <si>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</si>
  <si>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</si>
  <si>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</si>
  <si>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</si>
  <si>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</si>
  <si>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</si>
  <si>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</si>
  <si>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</si>
  <si>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11.09.14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</si>
</sst>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грудень"/>
    </sheetNames>
    <sheetDataSet>
      <sheetData sheetId="12">
        <row r="6">
          <cell r="G6">
            <v>122486368.56</v>
          </cell>
        </row>
        <row r="8">
          <cell r="G8">
            <v>0</v>
          </cell>
        </row>
        <row r="9">
          <cell r="G9">
            <v>13829857.96</v>
          </cell>
        </row>
        <row r="10">
          <cell r="G10">
            <v>108656510.6</v>
          </cell>
        </row>
      </sheetData>
      <sheetData sheetId="13">
        <row r="52">
          <cell r="B52">
            <v>5465491.089999992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5" sqref="D14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321256.8</v>
      </c>
      <c r="G8" s="22">
        <f aca="true" t="shared" si="0" ref="G8:G30">F8-E8</f>
        <v>-30101.99999999994</v>
      </c>
      <c r="H8" s="51">
        <f>F8/E8*100</f>
        <v>91.43268931929414</v>
      </c>
      <c r="I8" s="36">
        <f aca="true" t="shared" si="1" ref="I8:I17">F8-D8</f>
        <v>-167219.5</v>
      </c>
      <c r="J8" s="36">
        <f aca="true" t="shared" si="2" ref="J8:J14">F8/D8*100</f>
        <v>65.76712114794515</v>
      </c>
      <c r="K8" s="36">
        <f>F8-344287.2</f>
        <v>-23030.400000000023</v>
      </c>
      <c r="L8" s="136">
        <f>F8/344287.2</f>
        <v>0.9331070106585432</v>
      </c>
      <c r="M8" s="22">
        <f>M10+M19+M33+M56+M68+M30</f>
        <v>39345.409999999996</v>
      </c>
      <c r="N8" s="22">
        <f>N10+N19+N33+N56+N68+N30</f>
        <v>12321.029999999995</v>
      </c>
      <c r="O8" s="36">
        <f aca="true" t="shared" si="3" ref="O8:O71">N8-M8</f>
        <v>-27024.38</v>
      </c>
      <c r="P8" s="36">
        <f>F8/M8*100</f>
        <v>816.503881901345</v>
      </c>
      <c r="Q8" s="36">
        <f>N8-37510.4</f>
        <v>-25189.370000000006</v>
      </c>
      <c r="R8" s="134">
        <f>N8/37510.4</f>
        <v>0.32846970440197903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261372.8</v>
      </c>
      <c r="G9" s="22">
        <f t="shared" si="0"/>
        <v>261372.8</v>
      </c>
      <c r="H9" s="20"/>
      <c r="I9" s="56">
        <f t="shared" si="1"/>
        <v>-125640.40000000002</v>
      </c>
      <c r="J9" s="56">
        <f t="shared" si="2"/>
        <v>67.5358876648135</v>
      </c>
      <c r="K9" s="56"/>
      <c r="L9" s="135"/>
      <c r="M9" s="20">
        <f>M10+M17</f>
        <v>32323.5</v>
      </c>
      <c r="N9" s="20">
        <f>N10+N17</f>
        <v>11094.369999999995</v>
      </c>
      <c r="O9" s="36">
        <f t="shared" si="3"/>
        <v>-21229.130000000005</v>
      </c>
      <c r="P9" s="56">
        <f>F9/M9*100</f>
        <v>808.6154036536884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261372.8</v>
      </c>
      <c r="G10" s="49">
        <f t="shared" si="0"/>
        <v>-26086.70000000001</v>
      </c>
      <c r="H10" s="40">
        <f aca="true" t="shared" si="4" ref="H10:H17">F10/E10*100</f>
        <v>90.92508683831983</v>
      </c>
      <c r="I10" s="56">
        <f t="shared" si="1"/>
        <v>-125640.40000000002</v>
      </c>
      <c r="J10" s="56">
        <f t="shared" si="2"/>
        <v>67.5358876648135</v>
      </c>
      <c r="K10" s="141">
        <f>F10-272674.4</f>
        <v>-11301.600000000035</v>
      </c>
      <c r="L10" s="142">
        <f>F10/272674.4</f>
        <v>0.9585527647626618</v>
      </c>
      <c r="M10" s="40">
        <f>E10-серпень!E10</f>
        <v>32323.5</v>
      </c>
      <c r="N10" s="40">
        <f>F10-серпень!F10</f>
        <v>11094.369999999995</v>
      </c>
      <c r="O10" s="53">
        <f t="shared" si="3"/>
        <v>-21229.130000000005</v>
      </c>
      <c r="P10" s="56">
        <f aca="true" t="shared" si="5" ref="P10:P17">N10/M10*100</f>
        <v>34.3229229507943</v>
      </c>
      <c r="Q10" s="141">
        <f>N10-29967.1</f>
        <v>-18872.730000000003</v>
      </c>
      <c r="R10" s="142">
        <f>N10/29967.1</f>
        <v>0.37021833944559185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84.1</v>
      </c>
      <c r="G19" s="49">
        <f t="shared" si="0"/>
        <v>-972.4999999999999</v>
      </c>
      <c r="H19" s="40">
        <f aca="true" t="shared" si="6" ref="H19:H29">F19/E19*100</f>
        <v>7.959492712473973</v>
      </c>
      <c r="I19" s="56">
        <f aca="true" t="shared" si="7" ref="I19:I29">F19-D19</f>
        <v>-915.9</v>
      </c>
      <c r="J19" s="56">
        <f aca="true" t="shared" si="8" ref="J19:J29">F19/D19*100</f>
        <v>8.41</v>
      </c>
      <c r="K19" s="167">
        <f>F19-6479.1</f>
        <v>-6395</v>
      </c>
      <c r="L19" s="168">
        <f>F19/6479.1</f>
        <v>0.012980197866987698</v>
      </c>
      <c r="M19" s="40">
        <f>E19-серпень!E19</f>
        <v>11</v>
      </c>
      <c r="N19" s="40">
        <f>F19-серпень!F19</f>
        <v>11.39</v>
      </c>
      <c r="O19" s="53">
        <f t="shared" si="3"/>
        <v>0.39000000000000057</v>
      </c>
      <c r="P19" s="56">
        <f aca="true" t="shared" si="9" ref="P19:P29">N19/M19*100</f>
        <v>103.54545454545455</v>
      </c>
      <c r="Q19" s="56">
        <f>N19-362</f>
        <v>-350.61</v>
      </c>
      <c r="R19" s="135">
        <f>N19/362</f>
        <v>0.03146408839779006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573.12</v>
      </c>
      <c r="G29" s="49">
        <f t="shared" si="0"/>
        <v>-223.48000000000002</v>
      </c>
      <c r="H29" s="40">
        <f t="shared" si="6"/>
        <v>71.94576952046197</v>
      </c>
      <c r="I29" s="56">
        <f t="shared" si="7"/>
        <v>-356.88</v>
      </c>
      <c r="J29" s="56">
        <f t="shared" si="8"/>
        <v>61.62580645161291</v>
      </c>
      <c r="K29" s="148">
        <f>F29-2860</f>
        <v>-2286.88</v>
      </c>
      <c r="L29" s="149">
        <f>F29/2860</f>
        <v>0.20039160839160838</v>
      </c>
      <c r="M29" s="40">
        <f>E29-серпень!E29</f>
        <v>11</v>
      </c>
      <c r="N29" s="40">
        <f>F29-серпень!F29</f>
        <v>0</v>
      </c>
      <c r="O29" s="148">
        <f t="shared" si="3"/>
        <v>-11</v>
      </c>
      <c r="P29" s="145">
        <f t="shared" si="9"/>
        <v>0</v>
      </c>
      <c r="Q29" s="148">
        <f>N29-361.95</f>
        <v>-361.95</v>
      </c>
      <c r="R29" s="149">
        <f>N29/361.95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55165.1</v>
      </c>
      <c r="G33" s="49">
        <f aca="true" t="shared" si="14" ref="G33:G72">F33-E33</f>
        <v>-2537</v>
      </c>
      <c r="H33" s="40">
        <f aca="true" t="shared" si="15" ref="H33:H67">F33/E33*100</f>
        <v>95.60327960334199</v>
      </c>
      <c r="I33" s="56">
        <f>F33-D33</f>
        <v>-38400.9</v>
      </c>
      <c r="J33" s="56">
        <f aca="true" t="shared" si="16" ref="J33:J72">F33/D33*100</f>
        <v>58.958489194792975</v>
      </c>
      <c r="K33" s="141">
        <f>F33-60413.2</f>
        <v>-5248.0999999999985</v>
      </c>
      <c r="L33" s="142">
        <f>F33/60413.2</f>
        <v>0.9131299120059855</v>
      </c>
      <c r="M33" s="40">
        <f>E33-серпень!E33</f>
        <v>6401.309999999998</v>
      </c>
      <c r="N33" s="40">
        <f>F33-серпень!F33</f>
        <v>872.3600000000006</v>
      </c>
      <c r="O33" s="53">
        <f t="shared" si="3"/>
        <v>-5528.949999999997</v>
      </c>
      <c r="P33" s="56">
        <f aca="true" t="shared" si="17" ref="P33:P67">N33/M33*100</f>
        <v>13.62783555241038</v>
      </c>
      <c r="Q33" s="141">
        <f>N33-6624.9</f>
        <v>-5752.539999999999</v>
      </c>
      <c r="R33" s="142">
        <f>N33/6624.9</f>
        <v>0.1316789687391509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40932.8</v>
      </c>
      <c r="G55" s="144">
        <f t="shared" si="14"/>
        <v>-1539.0399999999936</v>
      </c>
      <c r="H55" s="146">
        <f t="shared" si="15"/>
        <v>96.37632840960035</v>
      </c>
      <c r="I55" s="145">
        <f t="shared" si="18"/>
        <v>-29333.199999999997</v>
      </c>
      <c r="J55" s="145">
        <f t="shared" si="16"/>
        <v>58.25406313152877</v>
      </c>
      <c r="K55" s="148">
        <f>F55-43813.51</f>
        <v>-2880.709999999999</v>
      </c>
      <c r="L55" s="149">
        <f>F55/43813.51</f>
        <v>0.9342506455200691</v>
      </c>
      <c r="M55" s="40">
        <f>E55-серпень!E55</f>
        <v>4681.3499999999985</v>
      </c>
      <c r="N55" s="40">
        <f>F55-серпень!F55</f>
        <v>792.5300000000061</v>
      </c>
      <c r="O55" s="148">
        <f t="shared" si="3"/>
        <v>-3888.8199999999924</v>
      </c>
      <c r="P55" s="148">
        <f t="shared" si="17"/>
        <v>16.929518194538037</v>
      </c>
      <c r="Q55" s="160">
        <f>N55-4961.43</f>
        <v>-4168.899999999994</v>
      </c>
      <c r="R55" s="161">
        <f>N55/7961.43</f>
        <v>0.09954618705433647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4630.2</v>
      </c>
      <c r="G56" s="49">
        <f t="shared" si="14"/>
        <v>-483.3000000000002</v>
      </c>
      <c r="H56" s="40">
        <f t="shared" si="15"/>
        <v>90.54854796127897</v>
      </c>
      <c r="I56" s="56">
        <f t="shared" si="18"/>
        <v>-2229.8</v>
      </c>
      <c r="J56" s="56">
        <f t="shared" si="16"/>
        <v>67.49562682215743</v>
      </c>
      <c r="K56" s="56">
        <f>F56-4694.5</f>
        <v>-64.30000000000018</v>
      </c>
      <c r="L56" s="135">
        <f>F56/4694.5</f>
        <v>0.9863031206731281</v>
      </c>
      <c r="M56" s="40">
        <f>E56-серпень!E56</f>
        <v>609.6000000000004</v>
      </c>
      <c r="N56" s="40">
        <f>F56-серпень!F56</f>
        <v>342.90999999999985</v>
      </c>
      <c r="O56" s="53">
        <f t="shared" si="3"/>
        <v>-266.6900000000005</v>
      </c>
      <c r="P56" s="56">
        <f t="shared" si="17"/>
        <v>56.25164041994745</v>
      </c>
      <c r="Q56" s="56">
        <f>N56-556.2</f>
        <v>-213.2900000000002</v>
      </c>
      <c r="R56" s="135">
        <f>N56/556.2</f>
        <v>0.6165228335131244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9529.69</v>
      </c>
      <c r="G74" s="50">
        <f aca="true" t="shared" si="24" ref="G74:G92">F74-E74</f>
        <v>-2650.3099999999995</v>
      </c>
      <c r="H74" s="51">
        <f aca="true" t="shared" si="25" ref="H74:H87">F74/E74*100</f>
        <v>78.24047619047619</v>
      </c>
      <c r="I74" s="36">
        <f aca="true" t="shared" si="26" ref="I74:I92">F74-D74</f>
        <v>-8828.609999999999</v>
      </c>
      <c r="J74" s="36">
        <f aca="true" t="shared" si="27" ref="J74:J92">F74/D74*100</f>
        <v>51.90943605889434</v>
      </c>
      <c r="K74" s="36">
        <f>F74-14585.4</f>
        <v>-5055.709999999999</v>
      </c>
      <c r="L74" s="136">
        <f>F74/14585.4</f>
        <v>0.6533718650157007</v>
      </c>
      <c r="M74" s="22">
        <f>M77+M86+M88+M89+M94+M95+M96+M97+M99+M87+M104</f>
        <v>1580.5</v>
      </c>
      <c r="N74" s="22">
        <f>N77+N86+N88+N89+N94+N95+N96+N97+N99+N32+N104+N87+N103</f>
        <v>919.9599999999998</v>
      </c>
      <c r="O74" s="55">
        <f aca="true" t="shared" si="28" ref="O74:O92">N74-M74</f>
        <v>-660.5400000000002</v>
      </c>
      <c r="P74" s="36">
        <f>N74/M74*100</f>
        <v>58.20689655172413</v>
      </c>
      <c r="Q74" s="36">
        <f>N74-1622.9</f>
        <v>-702.9400000000003</v>
      </c>
      <c r="R74" s="136">
        <f>N74/1622.9</f>
        <v>0.5668617906217264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88.3</v>
      </c>
      <c r="G89" s="49">
        <f t="shared" si="24"/>
        <v>-40.7</v>
      </c>
      <c r="H89" s="40">
        <f>F89/E89*100</f>
        <v>68.44961240310077</v>
      </c>
      <c r="I89" s="56">
        <f t="shared" si="26"/>
        <v>-86.7</v>
      </c>
      <c r="J89" s="56">
        <f t="shared" si="27"/>
        <v>50.457142857142856</v>
      </c>
      <c r="K89" s="56">
        <f>F89-123.2</f>
        <v>-34.900000000000006</v>
      </c>
      <c r="L89" s="135">
        <f>F89/123.2</f>
        <v>0.7167207792207791</v>
      </c>
      <c r="M89" s="40">
        <f>E89-серпень!E89</f>
        <v>15</v>
      </c>
      <c r="N89" s="40">
        <f>F89-серпень!F89</f>
        <v>5.939999999999998</v>
      </c>
      <c r="O89" s="53">
        <f t="shared" si="28"/>
        <v>-9.060000000000002</v>
      </c>
      <c r="P89" s="56">
        <f>N89/M89*100</f>
        <v>39.59999999999999</v>
      </c>
      <c r="Q89" s="56">
        <f>N89-14.8</f>
        <v>-8.860000000000003</v>
      </c>
      <c r="R89" s="135">
        <f>N89/14.8</f>
        <v>0.4013513513513512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721.9</v>
      </c>
      <c r="G96" s="49">
        <f t="shared" si="31"/>
        <v>-72.60000000000002</v>
      </c>
      <c r="H96" s="40">
        <f>F96/E96*100</f>
        <v>90.86217747010699</v>
      </c>
      <c r="I96" s="56">
        <f t="shared" si="32"/>
        <v>-478.1</v>
      </c>
      <c r="J96" s="56">
        <f>F96/D96*100</f>
        <v>60.15833333333334</v>
      </c>
      <c r="K96" s="56">
        <f>F96-795.5</f>
        <v>-73.60000000000002</v>
      </c>
      <c r="L96" s="135">
        <f>F96/795.5</f>
        <v>0.9074795725958517</v>
      </c>
      <c r="M96" s="40">
        <f>E96-серпень!E96</f>
        <v>100</v>
      </c>
      <c r="N96" s="40">
        <f>F96-серпень!F96</f>
        <v>36.24000000000001</v>
      </c>
      <c r="O96" s="53">
        <f t="shared" si="33"/>
        <v>-63.75999999999999</v>
      </c>
      <c r="P96" s="56">
        <f>N96/M96*100</f>
        <v>36.24000000000001</v>
      </c>
      <c r="Q96" s="56">
        <f>N96-102.1</f>
        <v>-65.85999999999999</v>
      </c>
      <c r="R96" s="135">
        <f>N96/102.1</f>
        <v>0.35494613124387864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2950.7</v>
      </c>
      <c r="G99" s="49">
        <f t="shared" si="31"/>
        <v>-56.30000000000018</v>
      </c>
      <c r="H99" s="40">
        <f>F99/E99*100</f>
        <v>98.12770202859993</v>
      </c>
      <c r="I99" s="56">
        <f t="shared" si="32"/>
        <v>-1622</v>
      </c>
      <c r="J99" s="56">
        <f>F99/D99*100</f>
        <v>64.52861547881994</v>
      </c>
      <c r="K99" s="56">
        <f>F99-3411.3</f>
        <v>-460.60000000000036</v>
      </c>
      <c r="L99" s="135">
        <f>F99/3411.3</f>
        <v>0.8649781608184562</v>
      </c>
      <c r="M99" s="40">
        <f>E99-серпень!E99</f>
        <v>410</v>
      </c>
      <c r="N99" s="40">
        <f>F99-серпень!F99</f>
        <v>248.03999999999996</v>
      </c>
      <c r="O99" s="53">
        <f t="shared" si="33"/>
        <v>-161.96000000000004</v>
      </c>
      <c r="P99" s="56">
        <f>N99/M99*100</f>
        <v>60.497560975609744</v>
      </c>
      <c r="Q99" s="56">
        <f>N99-432.2</f>
        <v>-184.16000000000003</v>
      </c>
      <c r="R99" s="135">
        <f>N99/432.2</f>
        <v>0.5739009717723276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728.5</v>
      </c>
      <c r="G102" s="144"/>
      <c r="H102" s="146"/>
      <c r="I102" s="145"/>
      <c r="J102" s="145"/>
      <c r="K102" s="148">
        <f>F102-545.2</f>
        <v>183.29999999999995</v>
      </c>
      <c r="L102" s="149">
        <f>F102/545.2</f>
        <v>1.336206896551724</v>
      </c>
      <c r="M102" s="40">
        <f>E102-серпень!E102</f>
        <v>0</v>
      </c>
      <c r="N102" s="40">
        <f>F102-серпень!F102</f>
        <v>92.5</v>
      </c>
      <c r="O102" s="53"/>
      <c r="P102" s="60"/>
      <c r="Q102" s="60">
        <f>N102-124.1</f>
        <v>-31.599999999999994</v>
      </c>
      <c r="R102" s="138">
        <f>N102/124.1</f>
        <v>0.7453666398066076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330804.08999999997</v>
      </c>
      <c r="G107" s="50">
        <f>F107-E107</f>
        <v>-32758.909999999974</v>
      </c>
      <c r="H107" s="51">
        <f>F107/E107*100</f>
        <v>90.98948187796888</v>
      </c>
      <c r="I107" s="36">
        <f t="shared" si="34"/>
        <v>-176075.51</v>
      </c>
      <c r="J107" s="36">
        <f t="shared" si="36"/>
        <v>65.2628533482113</v>
      </c>
      <c r="K107" s="36">
        <f>F107-358888.5</f>
        <v>-28084.410000000033</v>
      </c>
      <c r="L107" s="136">
        <f>F107/358888.5</f>
        <v>0.9217461412109889</v>
      </c>
      <c r="M107" s="22">
        <f>M8+M74+M105+M106</f>
        <v>40928.909999999996</v>
      </c>
      <c r="N107" s="22">
        <f>N8+N74+N105+N106</f>
        <v>13240.989999999994</v>
      </c>
      <c r="O107" s="55">
        <f t="shared" si="35"/>
        <v>-27687.920000000002</v>
      </c>
      <c r="P107" s="36">
        <f>N107/M107*100</f>
        <v>32.35119137059843</v>
      </c>
      <c r="Q107" s="36">
        <f>N107-39133.2</f>
        <v>-25892.210000000003</v>
      </c>
      <c r="R107" s="136">
        <f>N107/39133.2</f>
        <v>0.3383569449981089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262094.69999999998</v>
      </c>
      <c r="G108" s="71">
        <f>G10-G18+G96</f>
        <v>-26159.30000000001</v>
      </c>
      <c r="H108" s="72">
        <f>F108/E108*100</f>
        <v>90.92491344439279</v>
      </c>
      <c r="I108" s="52">
        <f t="shared" si="34"/>
        <v>-126118.50000000003</v>
      </c>
      <c r="J108" s="52">
        <f t="shared" si="36"/>
        <v>67.51308301726988</v>
      </c>
      <c r="K108" s="52">
        <f>F108-273558.9</f>
        <v>-11464.20000000004</v>
      </c>
      <c r="L108" s="137">
        <f>F108/273558.9</f>
        <v>0.9580923888785924</v>
      </c>
      <c r="M108" s="71">
        <f>M10-M18+M96</f>
        <v>32423.5</v>
      </c>
      <c r="N108" s="71">
        <f>N10-N18+N96</f>
        <v>11130.609999999995</v>
      </c>
      <c r="O108" s="53">
        <f t="shared" si="35"/>
        <v>-21292.890000000007</v>
      </c>
      <c r="P108" s="52">
        <f>N108/M108*100</f>
        <v>34.328835566795675</v>
      </c>
      <c r="Q108" s="52">
        <f>N108-30069.2</f>
        <v>-18938.590000000004</v>
      </c>
      <c r="R108" s="137">
        <f>N108/30069.2</f>
        <v>0.37016648264669477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68709.38999999998</v>
      </c>
      <c r="G109" s="62">
        <f>F109-E109</f>
        <v>-6599.609999999957</v>
      </c>
      <c r="H109" s="72">
        <f>F109/E109*100</f>
        <v>91.23662510456923</v>
      </c>
      <c r="I109" s="52">
        <f t="shared" si="34"/>
        <v>-49957.00999999998</v>
      </c>
      <c r="J109" s="52">
        <f t="shared" si="36"/>
        <v>57.9013014635988</v>
      </c>
      <c r="K109" s="52">
        <f>F109-85329.7</f>
        <v>-16620.310000000012</v>
      </c>
      <c r="L109" s="137">
        <f>F109/85329.7</f>
        <v>0.805222448924583</v>
      </c>
      <c r="M109" s="71">
        <f>M107-M108</f>
        <v>8505.409999999996</v>
      </c>
      <c r="N109" s="71">
        <f>N107-N108</f>
        <v>2110.379999999999</v>
      </c>
      <c r="O109" s="53">
        <f t="shared" si="35"/>
        <v>-6395.029999999997</v>
      </c>
      <c r="P109" s="52">
        <f>N109/M109*100</f>
        <v>24.812207759531876</v>
      </c>
      <c r="Q109" s="52">
        <f>N109-9064</f>
        <v>-6953.620000000001</v>
      </c>
      <c r="R109" s="137">
        <f>N109/9064</f>
        <v>0.23283097969991165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262094.69999999998</v>
      </c>
      <c r="G110" s="111">
        <f>F110-E110</f>
        <v>-20789.399999999994</v>
      </c>
      <c r="H110" s="72">
        <f>F110/E110*100</f>
        <v>92.65091251151973</v>
      </c>
      <c r="I110" s="81">
        <f t="shared" si="34"/>
        <v>-126118.50000000003</v>
      </c>
      <c r="J110" s="52">
        <f t="shared" si="36"/>
        <v>67.51308301726988</v>
      </c>
      <c r="K110" s="52"/>
      <c r="L110" s="137"/>
      <c r="M110" s="72">
        <f>E110-серпень!E110</f>
        <v>32423.49999999997</v>
      </c>
      <c r="N110" s="71">
        <f>N108</f>
        <v>11130.609999999995</v>
      </c>
      <c r="O110" s="63">
        <f t="shared" si="35"/>
        <v>-21292.889999999978</v>
      </c>
      <c r="P110" s="52">
        <f>N110/M110*100</f>
        <v>34.3288355667957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2">
        <v>1042.7</v>
      </c>
      <c r="G115" s="49">
        <f t="shared" si="37"/>
        <v>-1636.8999999999999</v>
      </c>
      <c r="H115" s="40">
        <f aca="true" t="shared" si="39" ref="H115:H126">F115/E115*100</f>
        <v>38.91252425735185</v>
      </c>
      <c r="I115" s="60">
        <f t="shared" si="38"/>
        <v>-2628.8</v>
      </c>
      <c r="J115" s="60">
        <f aca="true" t="shared" si="40" ref="J115:J121">F115/D115*100</f>
        <v>28.39983657905488</v>
      </c>
      <c r="K115" s="60">
        <f>F115-3077.6</f>
        <v>-2034.8999999999999</v>
      </c>
      <c r="L115" s="138">
        <f>F115/3077.6</f>
        <v>0.3388029633480634</v>
      </c>
      <c r="M115" s="40">
        <f>E115-серпень!E115</f>
        <v>327.5</v>
      </c>
      <c r="N115" s="40">
        <f>F115-серпень!F115</f>
        <v>57.180000000000064</v>
      </c>
      <c r="O115" s="53">
        <f aca="true" t="shared" si="41" ref="O115:O126">N115-M115</f>
        <v>-270.31999999999994</v>
      </c>
      <c r="P115" s="60">
        <f>N115/M115*100</f>
        <v>17.459541984732844</v>
      </c>
      <c r="Q115" s="60">
        <f>N115-150.5</f>
        <v>-93.31999999999994</v>
      </c>
      <c r="R115" s="138">
        <f>N115/150.5</f>
        <v>0.3799335548172762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230.3</v>
      </c>
      <c r="G116" s="49">
        <f t="shared" si="37"/>
        <v>29.80000000000001</v>
      </c>
      <c r="H116" s="40">
        <f t="shared" si="39"/>
        <v>114.86284289276809</v>
      </c>
      <c r="I116" s="60">
        <f t="shared" si="38"/>
        <v>-37.80000000000001</v>
      </c>
      <c r="J116" s="60">
        <f t="shared" si="40"/>
        <v>85.90078328981723</v>
      </c>
      <c r="K116" s="60">
        <f>F116-200.1</f>
        <v>30.200000000000017</v>
      </c>
      <c r="L116" s="138">
        <f>F116/200.1</f>
        <v>1.1509245377311346</v>
      </c>
      <c r="M116" s="40">
        <f>E116-серпень!E116</f>
        <v>22</v>
      </c>
      <c r="N116" s="40">
        <f>F116-серпень!F116</f>
        <v>22.980000000000018</v>
      </c>
      <c r="O116" s="53">
        <f t="shared" si="41"/>
        <v>0.9800000000000182</v>
      </c>
      <c r="P116" s="60">
        <f>N116/M116*100</f>
        <v>104.45454545454554</v>
      </c>
      <c r="Q116" s="60">
        <f>N116-24.4</f>
        <v>-1.4199999999999804</v>
      </c>
      <c r="R116" s="138">
        <f>N116/24.4</f>
        <v>0.9418032786885254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1272.26</v>
      </c>
      <c r="G117" s="62">
        <f t="shared" si="37"/>
        <v>-1607.84</v>
      </c>
      <c r="H117" s="72">
        <f t="shared" si="39"/>
        <v>44.174160619422935</v>
      </c>
      <c r="I117" s="61">
        <f t="shared" si="38"/>
        <v>-2667.34</v>
      </c>
      <c r="J117" s="61">
        <f t="shared" si="40"/>
        <v>32.2941415372119</v>
      </c>
      <c r="K117" s="61">
        <f>F117-3299.2</f>
        <v>-2026.9399999999998</v>
      </c>
      <c r="L117" s="139">
        <f>F117/3299.2</f>
        <v>0.38562681862269643</v>
      </c>
      <c r="M117" s="62">
        <f>M115+M116+M114</f>
        <v>349.5</v>
      </c>
      <c r="N117" s="38">
        <f>SUM(N114:N116)</f>
        <v>80.38000000000008</v>
      </c>
      <c r="O117" s="61">
        <f t="shared" si="41"/>
        <v>-269.1199999999999</v>
      </c>
      <c r="P117" s="61">
        <f>N117/M117*100</f>
        <v>22.998569384835502</v>
      </c>
      <c r="Q117" s="61">
        <f>N117-175.8</f>
        <v>-95.41999999999993</v>
      </c>
      <c r="R117" s="139">
        <f>N117/175.8</f>
        <v>0.4572241183162689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290.5</v>
      </c>
      <c r="G119" s="49">
        <f t="shared" si="37"/>
        <v>103</v>
      </c>
      <c r="H119" s="40">
        <f t="shared" si="39"/>
        <v>154.93333333333334</v>
      </c>
      <c r="I119" s="60">
        <f t="shared" si="38"/>
        <v>23.30000000000001</v>
      </c>
      <c r="J119" s="60">
        <f t="shared" si="40"/>
        <v>108.72005988023952</v>
      </c>
      <c r="K119" s="60">
        <f>F119-174.4</f>
        <v>116.1</v>
      </c>
      <c r="L119" s="138">
        <f>F119/174.4</f>
        <v>1.665711009174312</v>
      </c>
      <c r="M119" s="40">
        <f>E119-серпень!E119</f>
        <v>5</v>
      </c>
      <c r="N119" s="40">
        <f>F119-серпень!F119</f>
        <v>1.6999999999999886</v>
      </c>
      <c r="O119" s="53">
        <f>N119-M119</f>
        <v>-3.3000000000000114</v>
      </c>
      <c r="P119" s="60">
        <f>N119/M119*100</f>
        <v>33.99999999999977</v>
      </c>
      <c r="Q119" s="60">
        <f>N119-1.4</f>
        <v>0.2999999999999887</v>
      </c>
      <c r="R119" s="138">
        <f>N119/1.4</f>
        <v>1.2142857142857062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57370</v>
      </c>
      <c r="G120" s="49">
        <f t="shared" si="37"/>
        <v>4857.4000000000015</v>
      </c>
      <c r="H120" s="40">
        <f t="shared" si="39"/>
        <v>109.2499704832745</v>
      </c>
      <c r="I120" s="53">
        <f t="shared" si="38"/>
        <v>-14605.990000000005</v>
      </c>
      <c r="J120" s="60">
        <f t="shared" si="40"/>
        <v>79.7071356712148</v>
      </c>
      <c r="K120" s="60">
        <f>F120-50659.1</f>
        <v>6710.9000000000015</v>
      </c>
      <c r="L120" s="138">
        <f>F120/50659.1</f>
        <v>1.132471757295333</v>
      </c>
      <c r="M120" s="40">
        <f>E120-серпень!E120</f>
        <v>3100</v>
      </c>
      <c r="N120" s="40">
        <f>F120-серпень!F120</f>
        <v>1255.3700000000026</v>
      </c>
      <c r="O120" s="53">
        <f t="shared" si="41"/>
        <v>-1844.6299999999974</v>
      </c>
      <c r="P120" s="60">
        <f aca="true" t="shared" si="42" ref="P120:P125">N120/M120*100</f>
        <v>40.495806451612985</v>
      </c>
      <c r="Q120" s="60">
        <f>N120-3034.9</f>
        <v>-1779.5299999999975</v>
      </c>
      <c r="R120" s="138">
        <f>N120/3034.9</f>
        <v>0.41364460114007134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1754.72</v>
      </c>
      <c r="G121" s="49">
        <f t="shared" si="37"/>
        <v>31.720000000000027</v>
      </c>
      <c r="H121" s="40">
        <f t="shared" si="39"/>
        <v>101.84097504352874</v>
      </c>
      <c r="I121" s="60">
        <f t="shared" si="38"/>
        <v>-2995.2799999999997</v>
      </c>
      <c r="J121" s="60">
        <f t="shared" si="40"/>
        <v>36.94147368421053</v>
      </c>
      <c r="K121" s="60">
        <f>F121-1289.6</f>
        <v>465.1200000000001</v>
      </c>
      <c r="L121" s="138">
        <f>F121/1289.6</f>
        <v>1.3606699751861044</v>
      </c>
      <c r="M121" s="40">
        <f>E121-серпень!E121</f>
        <v>0</v>
      </c>
      <c r="N121" s="40">
        <f>F121-серпень!F121</f>
        <v>0.03999999999996362</v>
      </c>
      <c r="O121" s="53">
        <f t="shared" si="41"/>
        <v>0.03999999999996362</v>
      </c>
      <c r="P121" s="60" t="e">
        <f t="shared" si="42"/>
        <v>#DIV/0!</v>
      </c>
      <c r="Q121" s="60">
        <f>N121-167.3</f>
        <v>-167.26000000000005</v>
      </c>
      <c r="R121" s="138">
        <f>N121/167.3</f>
        <v>0.00023909145248035636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940.1</v>
      </c>
      <c r="G123" s="49">
        <f t="shared" si="37"/>
        <v>-491.12</v>
      </c>
      <c r="H123" s="40">
        <f t="shared" si="39"/>
        <v>65.68521960285631</v>
      </c>
      <c r="I123" s="60">
        <f t="shared" si="38"/>
        <v>-1059.9</v>
      </c>
      <c r="J123" s="60">
        <f>F123/D123*100</f>
        <v>47.005</v>
      </c>
      <c r="K123" s="60">
        <f>F123-1660.3</f>
        <v>-720.1999999999999</v>
      </c>
      <c r="L123" s="138">
        <f>F123/1660.3</f>
        <v>0.566222971752093</v>
      </c>
      <c r="M123" s="40">
        <f>E123-серпень!E123</f>
        <v>189.58999999999992</v>
      </c>
      <c r="N123" s="40">
        <f>F123-серпень!F123</f>
        <v>75.48000000000002</v>
      </c>
      <c r="O123" s="53">
        <f t="shared" si="41"/>
        <v>-114.1099999999999</v>
      </c>
      <c r="P123" s="60">
        <f t="shared" si="42"/>
        <v>39.81222638324809</v>
      </c>
      <c r="Q123" s="60">
        <f>N123-20.2</f>
        <v>55.280000000000015</v>
      </c>
      <c r="R123" s="138">
        <f>N123/20.2</f>
        <v>3.7366336633663377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62667.11</v>
      </c>
      <c r="G124" s="62">
        <f t="shared" si="37"/>
        <v>-6115.509999999995</v>
      </c>
      <c r="H124" s="72">
        <f t="shared" si="39"/>
        <v>91.10893129688867</v>
      </c>
      <c r="I124" s="61">
        <f t="shared" si="38"/>
        <v>-39404.08</v>
      </c>
      <c r="J124" s="61">
        <f>F124/D124*100</f>
        <v>61.39549269485346</v>
      </c>
      <c r="K124" s="61">
        <f>F124-76087.4</f>
        <v>-13420.289999999994</v>
      </c>
      <c r="L124" s="139">
        <f>F124/76087.4</f>
        <v>0.8236200737572844</v>
      </c>
      <c r="M124" s="62">
        <f>M120+M121+M122+M123+M119</f>
        <v>6608.889999999999</v>
      </c>
      <c r="N124" s="62">
        <f>N120+N121+N122+N123+N119</f>
        <v>1352.5900000000026</v>
      </c>
      <c r="O124" s="61">
        <f t="shared" si="41"/>
        <v>-5256.2999999999965</v>
      </c>
      <c r="P124" s="61">
        <f t="shared" si="42"/>
        <v>20.46622049996297</v>
      </c>
      <c r="Q124" s="61">
        <f>N124-10790.5</f>
        <v>-9437.909999999998</v>
      </c>
      <c r="R124" s="139">
        <f>N124/10790.5</f>
        <v>0.1253500764561422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71362.70999999999</v>
      </c>
      <c r="G134" s="50">
        <f t="shared" si="43"/>
        <v>-7076.320000000007</v>
      </c>
      <c r="H134" s="51">
        <f>F134/E134*100</f>
        <v>90.97857278449261</v>
      </c>
      <c r="I134" s="36">
        <f t="shared" si="44"/>
        <v>-43428.78000000001</v>
      </c>
      <c r="J134" s="36">
        <f>F134/D134*100</f>
        <v>62.16724776374972</v>
      </c>
      <c r="K134" s="36">
        <f>F134-88248.3</f>
        <v>-16885.59000000001</v>
      </c>
      <c r="L134" s="136">
        <f>F134/88248.3</f>
        <v>0.8086581837837101</v>
      </c>
      <c r="M134" s="31">
        <f>M117+M131+M124+M130+M133+M132</f>
        <v>6970.389999999999</v>
      </c>
      <c r="N134" s="31">
        <f>N117+N131+N124+N130+N133+N132</f>
        <v>1435.6700000000026</v>
      </c>
      <c r="O134" s="36">
        <f t="shared" si="45"/>
        <v>-5534.719999999997</v>
      </c>
      <c r="P134" s="36">
        <f>N134/M134*100</f>
        <v>20.596695450326347</v>
      </c>
      <c r="Q134" s="36">
        <f>N134-11009.7</f>
        <v>-9574.029999999999</v>
      </c>
      <c r="R134" s="136">
        <f>N134/11009.7</f>
        <v>0.130400465044461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402166.79999999993</v>
      </c>
      <c r="G135" s="50">
        <f t="shared" si="43"/>
        <v>-39835.22999999998</v>
      </c>
      <c r="H135" s="51">
        <f>F135/E135*100</f>
        <v>90.98754591692713</v>
      </c>
      <c r="I135" s="36">
        <f t="shared" si="44"/>
        <v>-219504.29000000004</v>
      </c>
      <c r="J135" s="36">
        <f>F135/D135*100</f>
        <v>64.69125015930851</v>
      </c>
      <c r="K135" s="36">
        <f>F135-447136.8</f>
        <v>-44970.00000000006</v>
      </c>
      <c r="L135" s="136">
        <f>F135/447136.8</f>
        <v>0.8994267526179907</v>
      </c>
      <c r="M135" s="22">
        <f>M107+M134</f>
        <v>47899.299999999996</v>
      </c>
      <c r="N135" s="22">
        <f>N107+N134</f>
        <v>14676.659999999996</v>
      </c>
      <c r="O135" s="36">
        <f t="shared" si="45"/>
        <v>-33222.64</v>
      </c>
      <c r="P135" s="36">
        <f>N135/M135*100</f>
        <v>30.64065654404135</v>
      </c>
      <c r="Q135" s="36">
        <f>N135-50142.9</f>
        <v>-35466.240000000005</v>
      </c>
      <c r="R135" s="136">
        <f>N135/50142.9</f>
        <v>0.2926966729088265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13</v>
      </c>
      <c r="D137" s="4" t="s">
        <v>118</v>
      </c>
    </row>
    <row r="138" spans="2:17" ht="31.5">
      <c r="B138" s="78" t="s">
        <v>154</v>
      </c>
      <c r="C138" s="39">
        <f>IF(O107&lt;0,ABS(O107/C137),0)</f>
        <v>2129.84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41893</v>
      </c>
      <c r="D139" s="39">
        <v>558.3</v>
      </c>
      <c r="N139" s="209"/>
      <c r="O139" s="209"/>
    </row>
    <row r="140" spans="3:15" ht="15.75">
      <c r="C140" s="120">
        <v>41892</v>
      </c>
      <c r="D140" s="39">
        <v>851.6</v>
      </c>
      <c r="F140" s="4" t="s">
        <v>166</v>
      </c>
      <c r="G140" s="210" t="s">
        <v>151</v>
      </c>
      <c r="H140" s="210"/>
      <c r="I140" s="115">
        <f>'[1]залишки  (2)'!$G$9/1000</f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41891</v>
      </c>
      <c r="D141" s="39">
        <v>936.1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'[1]залишки  (2)'!$G$6/1000</f>
        <v>122486.36856</v>
      </c>
      <c r="E143" s="80"/>
      <c r="F143" s="100" t="s">
        <v>147</v>
      </c>
      <c r="G143" s="210" t="s">
        <v>149</v>
      </c>
      <c r="H143" s="210"/>
      <c r="I143" s="116">
        <f>'[1]залишки  (2)'!$G$10/1000</f>
        <v>108656.5106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'[1]надх'!$B$52/1000</f>
        <v>5465.491089999992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5465.491089999992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2014-09-12T06:58:29Z</cp:lastPrinted>
  <dcterms:created xsi:type="dcterms:W3CDTF">2003-07-28T11:27:56Z</dcterms:created>
  <dcterms:modified xsi:type="dcterms:W3CDTF">2014-09-12T06:58:59Z</dcterms:modified>
  <cp:category/>
  <cp:version/>
  <cp:contentType/>
  <cp:contentStatus/>
</cp:coreProperties>
</file>